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10413"/>
  <x:workbookPr defaultThemeVersion="202300"/>
  <mc:AlternateContent xmlns:mc="http://schemas.openxmlformats.org/markup-compatibility/2006">
    <mc:Choice Requires="x15">
      <x15ac:absPath xmlns:x15ac="http://schemas.microsoft.com/office/spreadsheetml/2010/11/ac" url="https://nationalstormwatertrust.sharepoint.com/sites/Administration/Shared Documents/General/Shared Forms Templates/Pond Calculations/"/>
    </mc:Choice>
  </mc:AlternateContent>
  <xr:revisionPtr revIDLastSave="50" documentId="8_{CFA8D25E-1E57-CE42-AB87-96ED8393046E}" xr6:coauthVersionLast="47" xr6:coauthVersionMax="47" xr10:uidLastSave="{5CC2113D-97F1-8D49-93A2-005E935E27D8}"/>
  <x:bookViews>
    <x:workbookView xWindow="-19680" yWindow="-20120" windowWidth="34560" windowHeight="20120" xr2:uid="{BE0659C9-C252-8B49-8ADF-27D5CFE5AE85}"/>
    <x:workbookView xWindow="3660" yWindow="2660" windowWidth="27640" windowHeight="16940" xr2:uid="{D6CF88E5-B04E-9E41-9390-63C3B6603E32}"/>
  </x:bookViews>
  <x:sheets>
    <x:sheet name="Wetland Assimilation" sheetId="5" r:id="rId1"/>
  </x:sheets>
  <x:definedNames>
    <x:definedName name="_xlnm.Print_Area" localSheetId="0">'Wetland Assimilation'!$A$1:$J$51</x:definedName>
    <x:definedName name="Z1_CN">#REF!</x:definedName>
    <x:definedName name="Z1_DCIA">#REF!</x:definedName>
    <x:definedName name="Zone" localSheetId="0">'Wetland Assimilation'!$C$28</x:definedName>
    <x:definedName name="Zone">'Wetland Assimilation'!$C$28</x:definedName>
    <x:definedName name="Zone1">#REF!</x:definedName>
    <x:definedName name="Zone2">#REF!</x:definedName>
    <x:definedName name="Zone3">#REF!</x:definedName>
    <x:definedName name="Zone4">#REF!</x:definedName>
    <x:definedName name="Zone5">#REF!</x:definedName>
  </x:definedNames>
  <x:calcPr calcId="191029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x:ext>
  </x:extLst>
</x:workbook>
</file>

<file path=xl/calcChain.xml><?xml version="1.0" encoding="utf-8"?>
<x:calcChain xmlns:x="http://schemas.openxmlformats.org/spreadsheetml/2006/main">
  <x:c r="B59" i="5" l="1"/>
  <x:c r="D26" i="5"/>
  <x:c r="E26" i="5"/>
  <x:c r="C26" i="5"/>
  <x:c r="F55" i="5"/>
  <x:c r="E24" i="5"/>
  <x:c r="E25" i="5"/>
  <x:c r="E23" i="5"/>
  <x:c r="E22" i="5"/>
  <x:c r="E21" i="5"/>
  <x:c r="D18" i="5"/>
  <x:c r="E16" i="5"/>
  <x:c r="E17" i="5"/>
  <x:c r="E15" i="5"/>
  <x:c r="E11" i="5"/>
  <x:c r="F59" i="5" s="1"/>
  <x:c r="C18" i="5"/>
  <x:c r="C38" i="5"/>
  <x:c r="C39" i="5"/>
  <x:c r="C40" i="5"/>
  <x:c r="C41" i="5"/>
  <x:c r="C42" i="5"/>
  <x:c r="B38" i="5"/>
  <x:c r="B39" i="5"/>
  <x:c r="B40" i="5"/>
  <x:c r="B41" i="5"/>
  <x:c r="B42" i="5"/>
  <x:c r="C43" i="5"/>
  <x:c r="B43" i="5"/>
  <x:c r="C37" i="5"/>
  <x:c r="B37" i="5"/>
  <x:c r="C36" i="5"/>
  <x:c r="B36" i="5"/>
  <x:c r="C30" i="5"/>
  <x:c r="E18" i="5" l="1"/>
  <x:c r="F18" i="5" a="1"/>
  <x:c r="F18" i="5" s="1"/>
  <x:c r="F26" i="5" s="1" a="1"/>
  <x:c r="F26" i="5" s="1"/>
  <x:c r="F60" i="5"/>
  <x:c r="C44" i="5"/>
  <x:c r="B60" i="5"/>
  <x:c r="H42" i="5" l="1"/>
  <x:c r="H43" i="5"/>
  <x:c r="J42" i="5" l="1"/>
  <x:c r="I42" i="5"/>
  <x:c r="J43" i="5"/>
  <x:c r="I43" i="5"/>
  <x:c r="H38" i="5"/>
  <x:c r="H41" i="5"/>
  <x:c r="H39" i="5"/>
  <x:c r="H37" i="5"/>
  <x:c r="H40" i="5"/>
  <x:c r="J38" i="5" l="1"/>
  <x:c r="I38" i="5"/>
  <x:c r="J41" i="5"/>
  <x:c r="I41" i="5"/>
  <x:c r="I40" i="5"/>
  <x:c r="J40" i="5"/>
  <x:c r="J39" i="5"/>
  <x:c r="I39" i="5"/>
  <x:c r="G44" i="5" a="1"/>
  <x:c r="G44" i="5" s="1"/>
  <x:c r="J37" i="5"/>
  <x:c r="I37" i="5"/>
  <x:c r="H36" i="5" l="1"/>
  <x:c r="I36" i="5" l="1"/>
  <x:c r="I44" i="5" s="1"/>
  <x:c r="H44" i="5"/>
  <x:c r="J36" i="5"/>
  <x:c r="J44" i="5" s="1"/>
  <x:c r="B56" i="5" l="1"/>
  <x:c r="F56" i="5"/>
  <x:c r="H56" i="5" s="1"/>
  <x:c r="H52" i="5"/>
  <x:c r="J52" i="5" s="1"/>
  <x:c r="G60" i="5"/>
  <x:c r="J60" i="5"/>
  <x:c r="G59" i="5"/>
  <x:c r="J59" i="5"/>
  <x:c r="B52" i="5"/>
  <x:c r="E44" i="5" a="1"/>
  <x:c r="E44" i="5" s="1"/>
  <x:c r="D44" i="5" a="1"/>
  <x:c r="D44" i="5" s="1"/>
  <x:c r="J56" i="5" l="1"/>
</x: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<x:sst xmlns:x="http://schemas.openxmlformats.org/spreadsheetml/2006/main" count="84" uniqueCount="69">
  <x:si>
    <x:t>Given:</x:t>
  </x:si>
  <x:si>
    <x:t>Land Use:</x:t>
  </x:si>
  <x:si>
    <x:r>
      <x:t>TN EMC</x:t>
    </x:r>
    <x:r>
      <x:rPr>
        <x:vertAlign val="superscript"/>
        <x:sz val="12"/>
        <x:color theme="1"/>
        <x:rFont val="Calibri (Body)"/>
      </x:rPr>
      <x:t>2</x:t>
    </x:r>
    <x:r>
      <x:rPr>
        <x:sz val="12"/>
        <x:color theme="1"/>
        <x:rFont val="Aptos Narrow"/>
        <x:family val="2"/>
        <x:scheme val="minor"/>
      </x:rPr>
      <x:t xml:space="preserve">
(mg/l)</x:t>
    </x:r>
  </x:si>
  <x:si>
    <x:r>
      <x:t>TP EMC</x:t>
    </x:r>
    <x:r>
      <x:rPr>
        <x:vertAlign val="superscript"/>
        <x:sz val="12"/>
        <x:color theme="1"/>
        <x:rFont val="Calibri (Body)"/>
      </x:rPr>
      <x:t>2</x:t>
    </x:r>
    <x:r>
      <x:rPr>
        <x:sz val="12"/>
        <x:color theme="1"/>
        <x:rFont val="Aptos Narrow"/>
        <x:family val="2"/>
        <x:scheme val="minor"/>
      </x:rPr>
      <x:t xml:space="preserve">
(mg/l)</x:t>
    </x:r>
  </x:si>
  <x:si>
    <x:t>Weighted EMC:</x:t>
  </x:si>
  <x:si>
    <x:t>Area Weighted C:</x:t>
  </x:si>
  <x:si>
    <x:t>Highway</x:t>
  </x:si>
  <x:si>
    <x:t>Zone:</x:t>
  </x:si>
  <x:si>
    <x:t>Conversion</x:t>
  </x:si>
  <x:si>
    <x:t>kg/ac-ft per mg/l</x:t>
  </x:si>
  <x:si>
    <x:t>Annual TN Pollutant Load
(kg/yr)</x:t>
  </x:si>
  <x:si>
    <x:t>Annual TP Pollutant Load
(kg/yr)</x:t>
  </x:si>
  <x:si>
    <x:t>Wetland Area:</x:t>
  </x:si>
  <x:si>
    <x:t>acres =</x:t>
  </x:si>
  <x:si>
    <x:t>TN Loading Capacity:</x:t>
  </x:si>
  <x:si>
    <x:t>from 62-611.400(2)</x:t>
  </x:si>
  <x:si>
    <x:t>TP Loading Capacity:</x:t>
  </x:si>
  <x:si>
    <x:t>ac-ft</x:t>
  </x:si>
  <x:si>
    <x:t>Annual Runoff Volume
(ac-ft/yr)</x:t>
  </x:si>
  <x:si>
    <x:t>days</x:t>
  </x:si>
  <x:si>
    <x:t>Find:</x:t>
  </x:si>
  <x:si>
    <x:t>from ICPR model</x:t>
  </x:si>
  <x:si>
    <x:t>Wetland Volume for Mean Annual Storm:</x:t>
  </x:si>
  <x:si>
    <x:t>Area
(acres)</x:t>
  </x:si>
  <x:si>
    <x:t>in/wk</x:t>
  </x:si>
  <x:si>
    <x:t>Area (ac):</x:t>
  </x:si>
  <x:si>
    <x:t>Single Family</x:t>
  </x:si>
  <x:si>
    <x:t>1. Annual Pollutant Load From All Development Using Harper Method:</x:t>
  </x:si>
  <x:si>
    <x:t>Total Developed:</x:t>
  </x:si>
  <x:si>
    <x:t>Developed Area Contributing to Wetland</x:t>
  </x:si>
  <x:si>
    <x:t>Determining Wetland Assimilative Capacity for Stormwater Using 62-611</x:t>
  </x:si>
  <x:si>
    <x:t>Basin 1</x:t>
  </x:si>
  <x:si>
    <x:t>Basin 2</x:t>
  </x:si>
  <x:si>
    <x:t>Basin 3</x:t>
  </x:si>
  <x:si>
    <x:t>Project Basins:</x:t>
  </x:si>
  <x:si>
    <x:t>Project Total:</x:t>
  </x:si>
  <x:si>
    <x:t>Offsite Basins:</x:t>
  </x:si>
  <x:si>
    <x:t>Offsite 2</x:t>
  </x:si>
  <x:si>
    <x:t>Offsite 3</x:t>
  </x:si>
  <x:si>
    <x:t>Offsite 4</x:t>
  </x:si>
  <x:si>
    <x:t>Offsite 5</x:t>
  </x:si>
  <x:si>
    <x:t>Offsite 1</x:t>
  </x:si>
  <x:si>
    <x:t>DCIA (ac):</x:t>
  </x:si>
  <x:si>
    <x:t>nDCIA (ac):</x:t>
  </x:si>
  <x:si>
    <x:t>nDCIA CN:</x:t>
  </x:si>
  <x:si>
    <x:t>Hydraulic Loading &lt;=:</x:t>
  </x:si>
  <x:si>
    <x:t>inches/week</x:t>
  </x:si>
  <x:si>
    <x:t>from 62-611.350(1)</x:t>
  </x:si>
  <x:si>
    <x:t>from 62-611.400(1)</x:t>
  </x:si>
  <x:si>
    <x:t>Annual Detention Time &gt;=:</x:t>
  </x:si>
  <x:si>
    <x:t>Criteria:</x:t>
  </x:si>
  <x:si>
    <x:t>NOTE: Enter values in Red only.</x:t>
  </x:si>
  <x:si>
    <x:t>Notes:</x:t>
  </x:si>
  <x:si>
    <x:t>Wetland Volume:</x:t>
  </x:si>
  <x:si>
    <x:t>from above</x:t>
  </x:si>
  <x:si>
    <x:t>acres</x:t>
  </x:si>
  <x:si>
    <x:t>2. Receiving Wetland Mean Annual Hydraulic Loading Rate From Development:</x:t>
  </x:si>
  <x:si>
    <x:t>4. Receiving Wetland Assimilative Capacity</x:t>
  </x:si>
  <x:si>
    <x:t>See Figure 1: Designated Meteorological Regions (Zones) in Florida, Appendix M, A.H. Volume I (2024)</x:t>
  </x:si>
  <x:si>
    <x:r>
      <x:t>Mean Annual Rainfall (in)</x:t>
    </x:r>
    <x:r>
      <x:rPr>
        <x:vertAlign val="superscript"/>
        <x:sz val="12"/>
        <x:color theme="1"/>
        <x:rFont val="Calibri (Body)"/>
      </x:rPr>
      <x:t>1</x:t>
    </x:r>
    <x:r>
      <x:rPr>
        <x:sz val="12"/>
        <x:color theme="1"/>
        <x:rFont val="Aptos Narrow"/>
        <x:family val="2"/>
        <x:scheme val="minor"/>
      </x:rPr>
      <x:t>:</x:t>
    </x:r>
  </x:si>
  <x:si>
    <x:t>(1) From Figure 2: Average Annual Rainfall Isopleth Map for Florida, Appendix M, A.H. Volume I (2024)</x:t>
  </x:si>
  <x:si>
    <x:t>(2) See Table 9.2 Standardized Statewide Stormwater Nutrient EMC Values, Sec. 9.2.2, A.H. Volume I (2024)</x:t>
  </x:si>
  <x:si>
    <x:r>
      <x:t>Description</x:t>
    </x:r>
    <x:r>
      <x:rPr>
        <x:vertAlign val="superscript"/>
        <x:sz val="12"/>
        <x:color theme="1"/>
        <x:rFont val="Aptos Narrow (Body)"/>
      </x:rPr>
      <x:t>2</x:t>
    </x:r>
  </x:si>
  <x:si>
    <x:r>
      <x:t>Mean Annual Runoff Coefficient:</x:t>
    </x:r>
    <x:r>
      <x:rPr>
        <x:vertAlign val="superscript"/>
        <x:sz val="12"/>
        <x:color theme="1"/>
        <x:rFont val="Calibri (Body)"/>
      </x:rPr>
      <x:t>3</x:t>
    </x:r>
  </x:si>
  <x:si>
    <x:t>(3) See Appendix N, Mean Annual Runoff Coefficients (ROC Value) as a Function of DCIA Percentage and Non-DCIA Curve Number, A.H. Volume I (2024)</x:t>
  </x:si>
  <x:si>
    <x:t>3. Receiving Wetland Mean Annual Detention Time of Development Runoff:</x:t>
  </x:si>
  <x:si>
    <x:r>
      <x:t>m</x:t>
    </x:r>
    <x:r>
      <x:rPr>
        <x:vertAlign val="superscript"/>
        <x:sz val="12"/>
        <x:color theme="1"/>
        <x:rFont val="Aptos Narrow (Body)"/>
      </x:rPr>
      <x:t>2</x:t>
    </x:r>
    <x:r>
      <x:rPr>
        <x:sz val="12"/>
        <x:color theme="1"/>
        <x:rFont val="Aptos Narrow"/>
        <x:family val="2"/>
        <x:scheme val="minor"/>
      </x:rPr>
      <x:t>, area inundated by mean annual storm</x:t>
    </x:r>
  </x:si>
  <x:si>
    <x:r>
      <x:t>g/m</x:t>
    </x:r>
    <x:r>
      <x:rPr>
        <x:vertAlign val="superscript"/>
        <x:sz val="12"/>
        <x:color theme="1"/>
        <x:rFont val="Aptos Narrow (Body)"/>
      </x:rPr>
      <x:t>2</x:t>
    </x:r>
    <x:r>
      <x:rPr>
        <x:sz val="12"/>
        <x:color theme="1"/>
        <x:rFont val="Aptos Narrow"/>
        <x:family val="2"/>
        <x:scheme val="minor"/>
      </x:rPr>
      <x:t>/yr</x:t>
    </x:r>
  </x:si>
  <x:si>
    <x:t>g/m²/yr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</x:si>
</x:sst>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2">
    <x:numFmt numFmtId="164" formatCode="0.000"/>
    <x:numFmt numFmtId="165" formatCode="0.0"/>
  </x:numFmts>
  <x:fonts count="15" x14ac:knownFonts="1">
    <x:font>
      <x:sz val="12"/>
      <x:color theme="1"/>
      <x:name val="Aptos Narrow"/>
      <x:family val="2"/>
      <x:scheme val="minor"/>
    </x:font>
    <x:font>
      <x:sz val="12"/>
      <x:color theme="1"/>
      <x:name val="Aptos Narrow"/>
      <x:family val="2"/>
      <x:scheme val="minor"/>
    </x:font>
    <x:font>
      <x:sz val="12"/>
      <x:color rgb="FFFF0000"/>
      <x:name val="Aptos Narrow"/>
      <x:family val="2"/>
      <x:scheme val="minor"/>
    </x:font>
    <x:font>
      <x:b/>
      <x:sz val="12"/>
      <x:color theme="1"/>
      <x:name val="Aptos Narrow"/>
      <x:family val="2"/>
      <x:scheme val="minor"/>
    </x:font>
    <x:font>
      <x:u/>
      <x:sz val="12"/>
      <x:color theme="1"/>
      <x:name val="Aptos Narrow"/>
      <x:family val="2"/>
      <x:scheme val="minor"/>
    </x:font>
    <x:font>
      <x:b/>
      <x:sz val="14"/>
      <x:color theme="1"/>
      <x:name val="Aptos Narrow"/>
      <x:family val="2"/>
      <x:scheme val="minor"/>
    </x:font>
    <x:font>
      <x:vertAlign val="superscript"/>
      <x:sz val="12"/>
      <x:color theme="1"/>
      <x:name val="Calibri (Body)"/>
    </x:font>
    <x:font>
      <x:b/>
      <x:sz val="12"/>
      <x:color theme="1"/>
      <x:name val="Aptos Narrow"/>
      <x:scheme val="minor"/>
    </x:font>
    <x:font>
      <x:b/>
      <x:sz val="12"/>
      <x:color theme="9"/>
      <x:name val="Aptos Narrow"/>
      <x:scheme val="minor"/>
    </x:font>
    <x:font>
      <x:sz val="12"/>
      <x:name val="Aptos Narrow"/>
      <x:family val="2"/>
      <x:scheme val="minor"/>
    </x:font>
    <x:font>
      <x:sz val="12"/>
      <x:color theme="1"/>
      <x:name val="Aptos Narrow"/>
      <x:scheme val="minor"/>
    </x:font>
    <x:font>
      <x:u/>
      <x:sz val="12"/>
      <x:name val="Aptos Narrow"/>
      <x:family val="2"/>
      <x:scheme val="minor"/>
    </x:font>
    <x:font>
      <x:sz val="10"/>
      <x:color theme="1"/>
      <x:name val="Aptos Narrow"/>
      <x:scheme val="minor"/>
    </x:font>
    <x:font>
      <x:vertAlign val="superscript"/>
      <x:sz val="12"/>
      <x:color theme="1"/>
      <x:name val="Aptos Narrow (Body)"/>
    </x:font>
    <x:font>
      <x:sz val="13"/>
      <x:color rgb="FF333333"/>
      <x:name val="Verdana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0" tint="-0.14999847407452621"/>
        <x:bgColor indexed="64"/>
      </x:patternFill>
    </x:fill>
  </x:fills>
  <x:borders count="3">
    <x:border>
      <x:left/>
      <x:right/>
      <x:top/>
      <x:bottom/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</x:borders>
  <x:cellStyleXfs count="2">
    <x:xf numFmtId="0" fontId="0" fillId="0" borderId="0"/>
    <x:xf numFmtId="9" fontId="1" fillId="0" borderId="0" applyFont="0" applyFill="0" applyBorder="0" applyAlignment="0" applyProtection="0"/>
  </x:cellStyleXfs>
  <x:cellXfs count="46">
    <x:xf numFmtId="0" fontId="0" fillId="0" borderId="0" xfId="0"/>
    <x:xf numFmtId="0" fontId="0" fillId="2" borderId="0" xfId="0" applyFill="1" applyAlignment="1" applyProtection="1">
      <x:alignment horizontal="center"/>
    </x:xf>
    <x:xf numFmtId="0" fontId="0" fillId="0" borderId="0" xfId="0" applyProtection="1"/>
    <x:xf numFmtId="0" fontId="2" fillId="0" borderId="0" xfId="0" applyFont="1" applyProtection="1"/>
    <x:xf numFmtId="0" fontId="0" fillId="0" borderId="0" xfId="0" applyAlignment="1" applyProtection="1">
      <x:alignment horizontal="center"/>
    </x:xf>
    <x:xf numFmtId="3" fontId="0" fillId="0" borderId="0" xfId="0" applyNumberFormat="1" applyAlignment="1" applyProtection="1">
      <x:alignment horizontal="left"/>
    </x:xf>
    <x:xf numFmtId="0" fontId="9" fillId="0" borderId="0" xfId="0" applyFont="1" applyProtection="1"/>
    <x:xf numFmtId="2" fontId="2" fillId="0" borderId="0" xfId="0" applyNumberFormat="1" applyFont="1" applyAlignment="1" applyProtection="1">
      <x:alignment horizontal="center"/>
    </x:xf>
    <x:xf numFmtId="3" fontId="0" fillId="0" borderId="0" xfId="0" applyNumberFormat="1" applyAlignment="1" applyProtection="1">
      <x:alignment horizontal="center"/>
    </x:xf>
    <x:xf numFmtId="0" fontId="4" fillId="0" borderId="0" xfId="0" applyFont="1" applyProtection="1"/>
    <x:xf numFmtId="0" fontId="4" fillId="0" borderId="0" xfId="0" applyFont="1" applyAlignment="1" applyProtection="1">
      <x:alignment horizontal="center"/>
    </x:xf>
    <x:xf numFmtId="0" fontId="11" fillId="0" borderId="0" xfId="0" applyFont="1" applyAlignment="1" applyProtection="1">
      <x:alignment horizontal="center"/>
    </x:xf>
    <x:xf numFmtId="4" fontId="0" fillId="0" borderId="0" xfId="0" applyNumberFormat="1" applyProtection="1"/>
    <x:xf numFmtId="2" fontId="0" fillId="0" borderId="0" xfId="0" applyNumberFormat="1" applyAlignment="1" applyProtection="1">
      <x:alignment horizontal="center"/>
    </x:xf>
    <x:xf numFmtId="0" fontId="0" fillId="0" borderId="2" xfId="0" applyBorder="1" applyProtection="1"/>
    <x:xf numFmtId="2" fontId="0" fillId="0" borderId="2" xfId="0" applyNumberFormat="1" applyBorder="1" applyAlignment="1" applyProtection="1">
      <x:alignment horizontal="center"/>
    </x:xf>
    <x:xf numFmtId="0" fontId="0" fillId="0" borderId="0" xfId="0" applyAlignment="1" applyProtection="1">
      <x:alignment horizontal="right"/>
    </x:xf>
    <x:xf numFmtId="2" fontId="10" fillId="0" borderId="0" xfId="0" applyNumberFormat="1" applyFont="1" applyAlignment="1" applyProtection="1">
      <x:alignment horizontal="center"/>
    </x:xf>
    <x:xf numFmtId="0" fontId="9" fillId="0" borderId="0" xfId="0" applyFont="1" applyAlignment="1" applyProtection="1">
      <x:alignment horizontal="center"/>
    </x:xf>
    <x:xf numFmtId="0" fontId="4" fillId="0" borderId="0" xfId="0" applyFont="1" applyAlignment="1" applyProtection="1">
      <x:alignment horizontal="left"/>
    </x:xf>
    <x:xf numFmtId="2" fontId="0" fillId="0" borderId="0" xfId="0" applyNumberFormat="1" applyProtection="1"/>
    <x:xf numFmtId="10" fontId="0" fillId="0" borderId="0" xfId="1" applyNumberFormat="1" applyFont="1" applyProtection="1"/>
    <x:xf numFmtId="0" fontId="7" fillId="0" borderId="0" xfId="0" applyFont="1" applyProtection="1"/>
    <x:xf numFmtId="2" fontId="7" fillId="0" borderId="0" xfId="0" applyNumberFormat="1" applyFont="1" applyAlignment="1" applyProtection="1">
      <x:alignment horizontal="center"/>
    </x:xf>
    <x:xf numFmtId="0" fontId="5" fillId="0" borderId="0" xfId="0" applyFont="1" applyAlignment="1" applyProtection="1">
      <x:alignment horizontal="center"/>
    </x:xf>
    <x:xf numFmtId="164" fontId="0" fillId="0" borderId="0" xfId="0" applyNumberFormat="1" applyAlignment="1" applyProtection="1">
      <x:alignment horizontal="center"/>
    </x:xf>
    <x:xf numFmtId="0" fontId="3" fillId="0" borderId="1" xfId="0" applyFont="1" applyBorder="1" applyProtection="1"/>
    <x:xf numFmtId="0" fontId="0" fillId="0" borderId="1" xfId="0" applyBorder="1" applyAlignment="1" applyProtection="1">
      <x:alignment horizontal="center" wrapText="1"/>
    </x:xf>
    <x:xf numFmtId="0" fontId="0" fillId="0" borderId="1" xfId="0" applyBorder="1" applyAlignment="1" applyProtection="1">
      <x:alignment wrapText="1"/>
    </x:xf>
    <x:xf numFmtId="164" fontId="0" fillId="0" borderId="1" xfId="0" applyNumberFormat="1" applyBorder="1" applyAlignment="1" applyProtection="1">
      <x:alignment horizontal="center" wrapText="1"/>
    </x:xf>
    <x:xf numFmtId="0" fontId="3" fillId="0" borderId="0" xfId="0" applyFont="1" applyAlignment="1" applyProtection="1">
      <x:alignment horizontal="right"/>
    </x:xf>
    <x:xf numFmtId="4" fontId="0" fillId="0" borderId="0" xfId="0" applyNumberFormat="1" applyAlignment="1" applyProtection="1">
      <x:alignment horizontal="center"/>
    </x:xf>
    <x:xf numFmtId="0" fontId="12" fillId="0" borderId="0" xfId="0" applyFont="1" applyAlignment="1" applyProtection="1">
      <x:alignment horizontal="left"/>
    </x:xf>
    <x:xf numFmtId="0" fontId="12" fillId="0" borderId="0" xfId="0" applyFont="1" applyProtection="1"/>
    <x:xf numFmtId="0" fontId="8" fillId="0" borderId="0" xfId="0" applyFont="1" applyProtection="1"/>
    <x:xf numFmtId="2" fontId="9" fillId="0" borderId="0" xfId="0" applyNumberFormat="1" applyFont="1" applyAlignment="1" applyProtection="1">
      <x:alignment horizontal="center"/>
    </x:xf>
    <x:xf numFmtId="2" fontId="2" fillId="0" borderId="0" xfId="0" applyNumberFormat="1" applyFont="1" applyAlignment="1" applyProtection="1">
      <x:alignment horizontal="center"/>
      <x:protection locked="0"/>
    </x:xf>
    <x:xf numFmtId="2" fontId="2" fillId="0" borderId="2" xfId="0" applyNumberFormat="1" applyFont="1" applyBorder="1" applyAlignment="1" applyProtection="1">
      <x:alignment horizontal="center"/>
      <x:protection locked="0"/>
    </x:xf>
    <x:xf numFmtId="0" fontId="2" fillId="0" borderId="0" xfId="0" applyFont="1" applyAlignment="1" applyProtection="1">
      <x:alignment horizontal="center"/>
      <x:protection locked="0"/>
    </x:xf>
    <x:xf numFmtId="0" fontId="2" fillId="0" borderId="2" xfId="0" applyFont="1" applyBorder="1" applyAlignment="1" applyProtection="1">
      <x:alignment horizontal="center"/>
      <x:protection locked="0"/>
    </x:xf>
    <x:xf numFmtId="164" fontId="2" fillId="0" borderId="0" xfId="0" applyNumberFormat="1" applyFont="1" applyAlignment="1" applyProtection="1">
      <x:alignment horizontal="center"/>
      <x:protection locked="0"/>
    </x:xf>
    <x:xf numFmtId="0" fontId="2" fillId="0" borderId="0" xfId="0" applyFont="1" applyAlignment="1" applyProtection="1">
      <x:alignment horizontal="left"/>
      <x:protection locked="0"/>
    </x:xf>
    <x:xf numFmtId="164" fontId="2" fillId="0" borderId="2" xfId="0" applyNumberFormat="1" applyFont="1" applyBorder="1" applyAlignment="1" applyProtection="1">
      <x:alignment horizontal="center"/>
      <x:protection locked="0"/>
    </x:xf>
    <x:xf numFmtId="0" fontId="2" fillId="0" borderId="2" xfId="0" applyFont="1" applyBorder="1" applyAlignment="1" applyProtection="1">
      <x:alignment horizontal="left"/>
      <x:protection locked="0"/>
    </x:xf>
    <x:xf numFmtId="165" fontId="2" fillId="0" borderId="0" xfId="0" applyNumberFormat="1" applyFont="1" applyAlignment="1" applyProtection="1">
      <x:alignment horizontal="center"/>
      <x:protection locked="0"/>
    </x:xf>
    <x:xf numFmtId="0" fontId="14" fillId="0" borderId="0" xfId="0" applyFont="1"/>
  </x:cellXfs>
  <x:cellStyles count="2">
    <x:cellStyle name="Normal" xfId="0" builtinId="0"/>
    <x:cellStyle name="Percent" xfId="1" builtinId="5"/>
  </x:cellStyles>
  <x:dxfs count="2">
    <x:dxf>
      <x:font>
        <x:b/>
        <x:i val="0"/>
        <x:color rgb="FFFF0000"/>
      </x:font>
    </x:dxf>
    <x:dxf>
      <x:font>
        <x:b/>
        <x:i val="0"/>
        <x:color theme="9"/>
      </x:font>
    </x:dxf>
  </x:dxf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eetMetadata" Target="metadata.xml" Id="rId5" /><Relationship Type="http://schemas.openxmlformats.org/officeDocument/2006/relationships/sharedStrings" Target="sharedStrings.xml" Id="rId4" 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1C128F58-7121-3842-B576-2E55232F37B5}" mc:Ignorable="x14ac xr xr2 xr3">
  <x:sheetPr>
    <x:pageSetUpPr fitToPage="1"/>
  </x:sheetPr>
  <x:dimension ref="A1:P61"/>
  <x:sheetViews>
    <x:sheetView tabSelected="1" topLeftCell="A44" zoomScale="150" workbookViewId="0">
      <x:selection activeCell="B59" sqref="B59"/>
    </x:sheetView>
    <x:sheetView tabSelected="1" workbookViewId="1">
      <x:selection activeCell="D8" sqref="D8"/>
    </x:sheetView>
  </x:sheetViews>
  <x:sheetFormatPr baseColWidth="10" defaultColWidth="11" defaultRowHeight="16" x14ac:dyDescent="0.2"/>
  <x:cols>
    <x:col min="1" max="1" width="4.33203125" style="2" customWidth="1"/>
    <x:col min="2" max="2" width="21.83203125" style="2" customWidth="1"/>
    <x:col min="3" max="3" width="11.1640625" style="2" customWidth="1"/>
    <x:col min="4" max="5" width="12" style="2" customWidth="1"/>
    <x:col min="6" max="6" width="15" style="2" customWidth="1"/>
    <x:col min="7" max="7" width="11.5" style="2" customWidth="1"/>
    <x:col min="8" max="9" width="11" style="2" customWidth="1"/>
    <x:col min="10" max="10" width="9.1640625" style="2" customWidth="1"/>
    <x:col min="11" max="16384" width="11" style="2"/>
  </x:cols>
  <x:sheetData>
    <x:row r="1" spans="1:15" x14ac:dyDescent="0.2">
      <x:c r="A1" s="1" t="s">
        <x:v>30</x:v>
      </x:c>
      <x:c r="B1" s="1"/>
      <x:c r="C1" s="1"/>
      <x:c r="D1" s="1"/>
      <x:c r="E1" s="1"/>
      <x:c r="F1" s="1"/>
      <x:c r="G1" s="1"/>
      <x:c r="H1" s="1"/>
      <x:c r="I1" s="1"/>
      <x:c r="J1" s="1"/>
    </x:row>
    <x:row r="2" spans="1:15" x14ac:dyDescent="0.2">
      <x:c r="A2" s="3" t="s">
        <x:v>51</x:v>
      </x:c>
    </x:row>
    <x:row r="3" spans="1:15" ht="17" x14ac:dyDescent="0.2">
      <x:c r="M3" s="45"/>
    </x:row>
    <x:row r="4" spans="1:15" x14ac:dyDescent="0.2">
      <x:c r="A4" s="2" t="s">
        <x:v>50</x:v>
      </x:c>
    </x:row>
    <x:row r="5" spans="1:15" x14ac:dyDescent="0.2">
      <x:c r="B5" s="2" t="s">
        <x:v>45</x:v>
      </x:c>
      <x:c r="C5" s="4">
        <x:v>2</x:v>
      </x:c>
      <x:c r="D5" s="4" t="s">
        <x:v>46</x:v>
      </x:c>
      <x:c r="E5" s="5" t="s">
        <x:v>47</x:v>
      </x:c>
    </x:row>
    <x:row r="6" spans="1:15" x14ac:dyDescent="0.2">
      <x:c r="B6" s="2" t="s">
        <x:v>49</x:v>
      </x:c>
      <x:c r="C6" s="4">
        <x:v>14</x:v>
      </x:c>
      <x:c r="D6" s="4" t="s">
        <x:v>19</x:v>
      </x:c>
      <x:c r="E6" s="5" t="s">
        <x:v>48</x:v>
      </x:c>
    </x:row>
    <x:row r="7" spans="1:15" ht="19" x14ac:dyDescent="0.2">
      <x:c r="B7" s="2" t="s">
        <x:v>14</x:v>
      </x:c>
      <x:c r="C7" s="4">
        <x:v>25</x:v>
      </x:c>
      <x:c r="D7" s="4" t="s">
        <x:v>68</x:v>
      </x:c>
      <x:c r="E7" s="5" t="s">
        <x:v>15</x:v>
      </x:c>
    </x:row>
    <x:row r="8" spans="1:15" ht="19" x14ac:dyDescent="0.2">
      <x:c r="B8" s="2" t="s">
        <x:v>16</x:v>
      </x:c>
      <x:c r="C8" s="4">
        <x:v>3</x:v>
      </x:c>
      <x:c r="D8" s="4" t="s">
        <x:v>67</x:v>
      </x:c>
      <x:c r="E8" s="5" t="s">
        <x:v>15</x:v>
      </x:c>
    </x:row>
    <x:row r="9" spans="1:15" x14ac:dyDescent="0.2">
      <x:c r="E9" s="6"/>
      <x:c r="F9" s="6"/>
      <x:c r="G9" s="6"/>
      <x:c r="H9" s="6"/>
      <x:c r="I9" s="6"/>
    </x:row>
    <x:row r="10" spans="1:15" x14ac:dyDescent="0.2">
      <x:c r="A10" s="2" t="s">
        <x:v>0</x:v>
      </x:c>
      <x:c r="E10" s="6"/>
      <x:c r="F10" s="6"/>
      <x:c r="G10" s="6"/>
      <x:c r="H10" s="6"/>
      <x:c r="I10" s="6"/>
    </x:row>
    <x:row r="11" spans="1:15" ht="19" x14ac:dyDescent="0.2">
      <x:c r="B11" s="2" t="s">
        <x:v>12</x:v>
      </x:c>
      <x:c r="C11" s="36">
        <x:v>100</x:v>
      </x:c>
      <x:c r="D11" s="4" t="s">
        <x:v>13</x:v>
      </x:c>
      <x:c r="E11" s="8">
        <x:f>C11*43560/3.28084^2</x:f>
        <x:v>404685.61634012015</x:v>
      </x:c>
      <x:c r="F11" s="2" t="s">
        <x:v>66</x:v>
      </x:c>
    </x:row>
    <x:row r="12" spans="1:15" x14ac:dyDescent="0.2">
      <x:c r="B12" s="2" t="s">
        <x:v>53</x:v>
      </x:c>
      <x:c r="C12" s="36">
        <x:v>120</x:v>
      </x:c>
      <x:c r="D12" s="4" t="s">
        <x:v>17</x:v>
      </x:c>
      <x:c r="E12" s="2" t="s">
        <x:v>21</x:v>
      </x:c>
    </x:row>
    <x:row r="13" spans="1:15" x14ac:dyDescent="0.2">
      <x:c r="C13" s="7"/>
      <x:c r="D13" s="4"/>
      <x:c r="E13" s="8"/>
    </x:row>
    <x:row r="14" spans="1:15" x14ac:dyDescent="0.2">
      <x:c r="B14" s="9" t="s">
        <x:v>34</x:v>
      </x:c>
      <x:c r="C14" s="10" t="s">
        <x:v>25</x:v>
      </x:c>
      <x:c r="D14" s="10" t="s">
        <x:v>42</x:v>
      </x:c>
      <x:c r="E14" s="11" t="s">
        <x:v>43</x:v>
      </x:c>
      <x:c r="F14" s="11" t="s">
        <x:v>44</x:v>
      </x:c>
      <x:c r="G14" s="6"/>
      <x:c r="H14" s="6"/>
      <x:c r="I14" s="6"/>
      <x:c r="O14" s="12"/>
    </x:row>
    <x:row r="15" spans="1:15" x14ac:dyDescent="0.2">
      <x:c r="B15" s="2" t="s">
        <x:v>31</x:v>
      </x:c>
      <x:c r="C15" s="36">
        <x:v>10</x:v>
      </x:c>
      <x:c r="D15" s="36">
        <x:v>6</x:v>
      </x:c>
      <x:c r="E15" s="13">
        <x:f>C15-D15</x:f>
        <x:v>4</x:v>
      </x:c>
      <x:c r="F15" s="38">
        <x:v>80</x:v>
      </x:c>
      <x:c r="G15" s="6"/>
      <x:c r="H15" s="6"/>
      <x:c r="I15" s="6"/>
      <x:c r="O15" s="12"/>
    </x:row>
    <x:row r="16" spans="1:15" x14ac:dyDescent="0.2">
      <x:c r="B16" s="2" t="s">
        <x:v>32</x:v>
      </x:c>
      <x:c r="C16" s="36">
        <x:v>20</x:v>
      </x:c>
      <x:c r="D16" s="36">
        <x:v>13</x:v>
      </x:c>
      <x:c r="E16" s="13">
        <x:f t="shared" ref="E16:E17" si="0">C16-D16</x:f>
        <x:v>7</x:v>
      </x:c>
      <x:c r="F16" s="38">
        <x:v>80</x:v>
      </x:c>
      <x:c r="G16" s="6"/>
      <x:c r="H16" s="6"/>
      <x:c r="I16" s="6"/>
      <x:c r="O16" s="12"/>
    </x:row>
    <x:row r="17" spans="1:16" x14ac:dyDescent="0.2">
      <x:c r="B17" s="14" t="s">
        <x:v>33</x:v>
      </x:c>
      <x:c r="C17" s="37">
        <x:v>30</x:v>
      </x:c>
      <x:c r="D17" s="37">
        <x:v>20</x:v>
      </x:c>
      <x:c r="E17" s="15">
        <x:f t="shared" si="0"/>
        <x:v>10</x:v>
      </x:c>
      <x:c r="F17" s="39">
        <x:v>80</x:v>
      </x:c>
      <x:c r="G17" s="6"/>
      <x:c r="H17" s="6"/>
      <x:c r="I17" s="6"/>
    </x:row>
    <x:row r="18" spans="1:16" x14ac:dyDescent="0.2">
      <x:c r="B18" s="16" t="s">
        <x:v>35</x:v>
      </x:c>
      <x:c r="C18" s="13">
        <x:f>SUM(C15:C17)</x:f>
        <x:v>60</x:v>
      </x:c>
      <x:c r="D18" s="13">
        <x:f t="shared" ref="D18:E18" si="1">SUM(D15:D17)</x:f>
        <x:v>39</x:v>
      </x:c>
      <x:c r="E18" s="13">
        <x:f t="shared" si="1"/>
        <x:v>21</x:v>
      </x:c>
      <x:c r="F18" s="17" cm="1">
        <x:f t="array" ref="F18">SUM(F15:F17*E15:E17)/E18</x:f>
        <x:v>80</x:v>
      </x:c>
      <x:c r="G18" s="6"/>
      <x:c r="H18" s="6"/>
      <x:c r="I18" s="6"/>
    </x:row>
    <x:row r="19" spans="1:16" x14ac:dyDescent="0.2">
      <x:c r="B19" s="16"/>
      <x:c r="C19" s="13"/>
      <x:c r="D19" s="17"/>
      <x:c r="E19" s="18"/>
      <x:c r="F19" s="6"/>
      <x:c r="G19" s="6"/>
      <x:c r="H19" s="6"/>
      <x:c r="I19" s="6"/>
    </x:row>
    <x:row r="20" spans="1:16" x14ac:dyDescent="0.2">
      <x:c r="B20" s="19" t="s">
        <x:v>36</x:v>
      </x:c>
      <x:c r="C20" s="10" t="s">
        <x:v>25</x:v>
      </x:c>
      <x:c r="D20" s="10" t="s">
        <x:v>42</x:v>
      </x:c>
      <x:c r="E20" s="11" t="s">
        <x:v>43</x:v>
      </x:c>
      <x:c r="F20" s="11" t="s">
        <x:v>44</x:v>
      </x:c>
      <x:c r="G20" s="6"/>
      <x:c r="H20" s="6"/>
      <x:c r="I20" s="6"/>
    </x:row>
    <x:row r="21" spans="1:16" x14ac:dyDescent="0.2">
      <x:c r="B21" s="2" t="s">
        <x:v>41</x:v>
      </x:c>
      <x:c r="C21" s="36">
        <x:v>15</x:v>
      </x:c>
      <x:c r="D21" s="36">
        <x:v>8</x:v>
      </x:c>
      <x:c r="E21" s="13">
        <x:f>C21-D21</x:f>
        <x:v>7</x:v>
      </x:c>
      <x:c r="F21" s="38">
        <x:v>76</x:v>
      </x:c>
      <x:c r="G21" s="6"/>
      <x:c r="H21" s="6"/>
      <x:c r="I21" s="6"/>
    </x:row>
    <x:row r="22" spans="1:16" x14ac:dyDescent="0.2">
      <x:c r="B22" s="2" t="s">
        <x:v>37</x:v>
      </x:c>
      <x:c r="C22" s="36">
        <x:v>100</x:v>
      </x:c>
      <x:c r="D22" s="36">
        <x:v>55</x:v>
      </x:c>
      <x:c r="E22" s="13">
        <x:f t="shared" ref="E22:E25" si="2">C22-D22</x:f>
        <x:v>45</x:v>
      </x:c>
      <x:c r="F22" s="38">
        <x:v>72</x:v>
      </x:c>
      <x:c r="O22" s="20"/>
      <x:c r="P22" s="21"/>
    </x:row>
    <x:row r="23" spans="1:16" x14ac:dyDescent="0.2">
      <x:c r="B23" s="2" t="s">
        <x:v>38</x:v>
      </x:c>
      <x:c r="C23" s="36">
        <x:v>120</x:v>
      </x:c>
      <x:c r="D23" s="36">
        <x:v>63</x:v>
      </x:c>
      <x:c r="E23" s="13">
        <x:f t="shared" si="2"/>
        <x:v>57</x:v>
      </x:c>
      <x:c r="F23" s="38">
        <x:v>80</x:v>
      </x:c>
      <x:c r="N23" s="16"/>
      <x:c r="O23" s="12"/>
    </x:row>
    <x:row r="24" spans="1:16" x14ac:dyDescent="0.2">
      <x:c r="B24" s="2" t="s">
        <x:v>39</x:v>
      </x:c>
      <x:c r="C24" s="36">
        <x:v>80</x:v>
      </x:c>
      <x:c r="D24" s="36">
        <x:v>35</x:v>
      </x:c>
      <x:c r="E24" s="13">
        <x:f t="shared" si="2"/>
        <x:v>45</x:v>
      </x:c>
      <x:c r="F24" s="38">
        <x:v>77</x:v>
      </x:c>
      <x:c r="I24" s="12"/>
    </x:row>
    <x:row r="25" spans="1:16" x14ac:dyDescent="0.2">
      <x:c r="B25" s="14" t="s">
        <x:v>40</x:v>
      </x:c>
      <x:c r="C25" s="37">
        <x:v>40</x:v>
      </x:c>
      <x:c r="D25" s="37">
        <x:v>20</x:v>
      </x:c>
      <x:c r="E25" s="15">
        <x:f t="shared" si="2"/>
        <x:v>20</x:v>
      </x:c>
      <x:c r="F25" s="39">
        <x:v>65</x:v>
      </x:c>
    </x:row>
    <x:row r="26" spans="1:16" x14ac:dyDescent="0.2">
      <x:c r="B26" s="22" t="s">
        <x:v>28</x:v>
      </x:c>
      <x:c r="C26" s="23">
        <x:f>SUM(C18,C21:C25)</x:f>
        <x:v>415</x:v>
      </x:c>
      <x:c r="D26" s="23">
        <x:f t="shared" ref="D26:E26" si="3">SUM(D18,D21:D25)</x:f>
        <x:v>220</x:v>
      </x:c>
      <x:c r="E26" s="23">
        <x:f t="shared" si="3"/>
        <x:v>195</x:v>
      </x:c>
      <x:c r="F26" s="23" cm="1">
        <x:f t="array" ref="F26">SUM(F18*E18,F21:F25*E21:E25)/E26</x:f>
        <x:v>75.779487179487177</x:v>
      </x:c>
      <x:c r="G26" s="2" t="s">
        <x:v>29</x:v>
      </x:c>
    </x:row>
    <x:row r="28" spans="1:16" x14ac:dyDescent="0.2">
      <x:c r="B28" s="2" t="s">
        <x:v>7</x:v>
      </x:c>
      <x:c r="C28" s="38">
        <x:v>2</x:v>
      </x:c>
      <x:c r="D28" s="2" t="s">
        <x:v>58</x:v>
      </x:c>
    </x:row>
    <x:row r="30" spans="1:16" x14ac:dyDescent="0.2">
      <x:c r="B30" s="2" t="s">
        <x:v>8</x:v>
      </x:c>
      <x:c r="C30" s="4">
        <x:f>2.71936215088344/2.2084</x:f>
        <x:v>1.231372102374316</x:v>
      </x:c>
      <x:c r="D30" s="2" t="s">
        <x:v>9</x:v>
      </x:c>
    </x:row>
    <x:row r="32" spans="1:16" x14ac:dyDescent="0.2">
      <x:c r="A32" s="2" t="s">
        <x:v>20</x:v>
      </x:c>
    </x:row>
    <x:row r="33" spans="1:10" ht="19" x14ac:dyDescent="0.25">
      <x:c r="A33" s="24"/>
      <x:c r="B33" s="22" t="s">
        <x:v>27</x:v>
      </x:c>
    </x:row>
    <x:row r="34" spans="1:10" ht="19" x14ac:dyDescent="0.2">
      <x:c r="C34" s="25"/>
      <x:c r="G34" s="16" t="s">
        <x:v>59</x:v>
      </x:c>
      <x:c r="H34" s="44">
        <x:v>49</x:v>
      </x:c>
      <x:c r="I34" s="25"/>
      <x:c r="J34" s="13"/>
    </x:row>
    <x:row r="35" spans="1:10" ht="68" x14ac:dyDescent="0.2">
      <x:c r="B35" s="26" t="s">
        <x:v>1</x:v>
      </x:c>
      <x:c r="C35" s="27" t="s">
        <x:v>23</x:v>
      </x:c>
      <x:c r="D35" s="27" t="s">
        <x:v>2</x:v>
      </x:c>
      <x:c r="E35" s="27" t="s">
        <x:v>3</x:v>
      </x:c>
      <x:c r="F35" s="28" t="s">
        <x:v>62</x:v>
      </x:c>
      <x:c r="G35" s="27" t="s">
        <x:v>63</x:v>
      </x:c>
      <x:c r="H35" s="29" t="s">
        <x:v>18</x:v>
      </x:c>
      <x:c r="I35" s="29" t="s">
        <x:v>10</x:v>
      </x:c>
      <x:c r="J35" s="29" t="s">
        <x:v>11</x:v>
      </x:c>
    </x:row>
    <x:row r="36" spans="1:10" x14ac:dyDescent="0.2">
      <x:c r="B36" s="2" t="str">
        <x:f t="shared" ref="B36:C38" si="4">B15</x:f>
        <x:v>Basin 1</x:v>
      </x:c>
      <x:c r="C36" s="13">
        <x:f t="shared" si="4"/>
        <x:v>10</x:v>
      </x:c>
      <x:c r="D36" s="40">
        <x:v>1.25</x:v>
      </x:c>
      <x:c r="E36" s="40">
        <x:v>0.17299999999999999</x:v>
      </x:c>
      <x:c r="F36" s="41" t="s">
        <x:v>6</x:v>
      </x:c>
      <x:c r="G36" s="40">
        <x:v>0.53</x:v>
      </x:c>
      <x:c r="H36" s="13">
        <x:f>C36*$H$34*G36/12</x:f>
        <x:v>21.641666666666666</x:v>
      </x:c>
      <x:c r="I36" s="13">
        <x:f>D36*H36*$C$30</x:f>
        <x:v>33.311180727771863</x:v>
      </x:c>
      <x:c r="J36" s="13">
        <x:f>E36*H36*$C$30</x:f>
        <x:v>4.6102674127236254</x:v>
      </x:c>
    </x:row>
    <x:row r="37" spans="1:10" x14ac:dyDescent="0.2">
      <x:c r="B37" s="2" t="str">
        <x:f t="shared" si="4"/>
        <x:v>Basin 2</x:v>
      </x:c>
      <x:c r="C37" s="13">
        <x:f t="shared" si="4"/>
        <x:v>20</x:v>
      </x:c>
      <x:c r="D37" s="40">
        <x:v>1.25</x:v>
      </x:c>
      <x:c r="E37" s="40">
        <x:v>0.17299999999999999</x:v>
      </x:c>
      <x:c r="F37" s="41" t="s">
        <x:v>6</x:v>
      </x:c>
      <x:c r="G37" s="40">
        <x:v>0.56499999999999995</x:v>
      </x:c>
      <x:c r="H37" s="13">
        <x:f>C37*$H$34*G37/12</x:f>
        <x:v>46.141666666666659</x:v>
      </x:c>
      <x:c r="I37" s="13">
        <x:f>D37*H37*$C$30</x:f>
        <x:v>71.021951362985277</x:v>
      </x:c>
      <x:c r="J37" s="13">
        <x:f>E37*H37*$C$30</x:f>
        <x:v>9.8294380686371632</x:v>
      </x:c>
    </x:row>
    <x:row r="38" spans="1:10" x14ac:dyDescent="0.2">
      <x:c r="B38" s="2" t="str">
        <x:f t="shared" si="4"/>
        <x:v>Basin 3</x:v>
      </x:c>
      <x:c r="C38" s="13">
        <x:f t="shared" si="4"/>
        <x:v>30</x:v>
      </x:c>
      <x:c r="D38" s="40">
        <x:v>1.25</x:v>
      </x:c>
      <x:c r="E38" s="40">
        <x:v>0.17299999999999999</x:v>
      </x:c>
      <x:c r="F38" s="41" t="s">
        <x:v>6</x:v>
      </x:c>
      <x:c r="G38" s="40">
        <x:v>0.57666666666666666</x:v>
      </x:c>
      <x:c r="H38" s="13">
        <x:f t="shared" ref="H38:H43" si="5">C38*$H$34*G38/12</x:f>
        <x:v>70.641666666666666</x:v>
      </x:c>
      <x:c r="I38" s="13">
        <x:f t="shared" ref="I38:I43" si="6">D38*H38*$C$30</x:f>
        <x:v>108.73272199819871</x:v>
      </x:c>
      <x:c r="J38" s="13">
        <x:f t="shared" ref="J38:J43" si="7">E38*H38*$C$30</x:f>
        <x:v>15.048608724550702</x:v>
      </x:c>
    </x:row>
    <x:row r="39" spans="1:10" x14ac:dyDescent="0.2">
      <x:c r="B39" s="2" t="str">
        <x:f t="shared" ref="B39:C43" si="8">B21</x:f>
        <x:v>Offsite 1</x:v>
      </x:c>
      <x:c r="C39" s="13">
        <x:f t="shared" si="8"/>
        <x:v>15</x:v>
      </x:c>
      <x:c r="D39" s="40">
        <x:v>1.77</x:v>
      </x:c>
      <x:c r="E39" s="40">
        <x:v>0.32700000000000001</x:v>
      </x:c>
      <x:c r="F39" s="41" t="s">
        <x:v>26</x:v>
      </x:c>
      <x:c r="G39" s="40">
        <x:v>0.47160000000000002</x:v>
      </x:c>
      <x:c r="H39" s="13">
        <x:f t="shared" si="5"/>
        <x:v>28.885500000000004</x:v>
      </x:c>
      <x:c r="I39" s="13">
        <x:f t="shared" si="6"/>
        <x:v>62.956773987745962</x:v>
      </x:c>
      <x:c r="J39" s="13">
        <x:f t="shared" si="7"/>
        <x:v>11.630997228244594</x:v>
      </x:c>
    </x:row>
    <x:row r="40" spans="1:10" x14ac:dyDescent="0.2">
      <x:c r="B40" s="2" t="str">
        <x:f t="shared" si="8"/>
        <x:v>Offsite 2</x:v>
      </x:c>
      <x:c r="C40" s="13">
        <x:f t="shared" si="8"/>
        <x:v>100</x:v>
      </x:c>
      <x:c r="D40" s="40">
        <x:v>1.77</x:v>
      </x:c>
      <x:c r="E40" s="40">
        <x:v>0.32700000000000001</x:v>
      </x:c>
      <x:c r="F40" s="41" t="s">
        <x:v>26</x:v>
      </x:c>
      <x:c r="G40" s="40">
        <x:v>0.47500000000000003</x:v>
      </x:c>
      <x:c r="H40" s="13">
        <x:f t="shared" si="5"/>
        <x:v>193.95833333333334</x:v>
      </x:c>
      <x:c r="I40" s="13">
        <x:f t="shared" si="6"/>
        <x:v>422.73773882074261</x:v>
      </x:c>
      <x:c r="J40" s="13">
        <x:f t="shared" si="7"/>
        <x:v>78.099005985527015</x:v>
      </x:c>
    </x:row>
    <x:row r="41" spans="1:10" x14ac:dyDescent="0.2">
      <x:c r="B41" s="2" t="str">
        <x:f t="shared" si="8"/>
        <x:v>Offsite 3</x:v>
      </x:c>
      <x:c r="C41" s="13">
        <x:f t="shared" si="8"/>
        <x:v>120</x:v>
      </x:c>
      <x:c r="D41" s="40">
        <x:v>1.77</x:v>
      </x:c>
      <x:c r="E41" s="40">
        <x:v>0.32700000000000001</x:v>
      </x:c>
      <x:c r="F41" s="41" t="s">
        <x:v>26</x:v>
      </x:c>
      <x:c r="G41" s="40">
        <x:v>0.47750000000000004</x:v>
      </x:c>
      <x:c r="H41" s="13">
        <x:f t="shared" si="5"/>
        <x:v>233.97500000000002</x:v>
      </x:c>
      <x:c r="I41" s="13">
        <x:f t="shared" si="6"/>
        <x:v>509.95520914586422</x:v>
      </x:c>
      <x:c r="J41" s="13">
        <x:f t="shared" si="7"/>
        <x:v>94.212064062541018</x:v>
      </x:c>
    </x:row>
    <x:row r="42" spans="1:10" x14ac:dyDescent="0.2">
      <x:c r="B42" s="2" t="str">
        <x:f t="shared" si="8"/>
        <x:v>Offsite 4</x:v>
      </x:c>
      <x:c r="C42" s="13">
        <x:f t="shared" si="8"/>
        <x:v>80</x:v>
      </x:c>
      <x:c r="D42" s="40">
        <x:v>1.77</x:v>
      </x:c>
      <x:c r="E42" s="40">
        <x:v>0.32700000000000001</x:v>
      </x:c>
      <x:c r="F42" s="41" t="s">
        <x:v>26</x:v>
      </x:c>
      <x:c r="G42" s="40">
        <x:v>0.40574999999999994</x:v>
      </x:c>
      <x:c r="H42" s="13">
        <x:f t="shared" si="5"/>
        <x:v>132.54499999999999</x:v>
      </x:c>
      <x:c r="I42" s="13">
        <x:f t="shared" si="6"/>
        <x:v>288.8856210972906</x:v>
      </x:c>
      <x:c r="J42" s="13">
        <x:f t="shared" si="7"/>
        <x:v>53.370394406109611</x:v>
      </x:c>
    </x:row>
    <x:row r="43" spans="1:10" x14ac:dyDescent="0.2">
      <x:c r="B43" s="14" t="str">
        <x:f t="shared" si="8"/>
        <x:v>Offsite 5</x:v>
      </x:c>
      <x:c r="C43" s="15">
        <x:f t="shared" si="8"/>
        <x:v>40</x:v>
      </x:c>
      <x:c r="D43" s="42">
        <x:v>1.77</x:v>
      </x:c>
      <x:c r="E43" s="42">
        <x:v>0.32700000000000001</x:v>
      </x:c>
      <x:c r="F43" s="43" t="s">
        <x:v>26</x:v>
      </x:c>
      <x:c r="G43" s="42">
        <x:v>0.42599999999999999</x:v>
      </x:c>
      <x:c r="H43" s="15">
        <x:f t="shared" si="5"/>
        <x:v>69.58</x:v>
      </x:c>
      <x:c r="I43" s="15">
        <x:f t="shared" si="6"/>
        <x:v>151.6516014632727</x:v>
      </x:c>
      <x:c r="J43" s="15">
        <x:f t="shared" si="7"/>
        <x:v>28.016990778808005</x:v>
      </x:c>
    </x:row>
    <x:row r="44" spans="1:10" ht="19" x14ac:dyDescent="0.25">
      <x:c r="A44" s="24"/>
      <x:c r="B44" s="30" t="s">
        <x:v>4</x:v>
      </x:c>
      <x:c r="C44" s="13">
        <x:f>SUM(C36:C43)</x:f>
        <x:v>415</x:v>
      </x:c>
      <x:c r="D44" s="25" cm="1">
        <x:f t="array" ref="D44">SUM(D36:D43*H36:H43)/H44</x:f>
        <x:v>1.6797268453557561</x:v>
      </x:c>
      <x:c r="E44" s="25" cm="1">
        <x:f t="array" ref="E44">SUM(E36:E43*H36:H43)/H44</x:f>
        <x:v>0.30026525804766635</x:v>
      </x:c>
      <x:c r="F44" s="16" t="s">
        <x:v>5</x:v>
      </x:c>
      <x:c r="G44" s="25" cm="1">
        <x:f t="array" ref="G44">SUM(G36:G43*C36:C43)/C44</x:f>
        <x:v>0.47053975903614453</x:v>
      </x:c>
      <x:c r="H44" s="13">
        <x:f>SUM(H36:H43)</x:f>
        <x:v>797.36883333333344</x:v>
      </x:c>
      <x:c r="I44" s="31">
        <x:f>SUM(I36:I43)</x:f>
        <x:v>1649.252798603872</x:v>
      </x:c>
      <x:c r="J44" s="13">
        <x:f>SUM(J36:J43)</x:f>
        <x:v>294.81776666714171</x:v>
      </x:c>
    </x:row>
    <x:row r="45" spans="1:10" x14ac:dyDescent="0.2">
      <x:c r="B45" s="32" t="s">
        <x:v>52</x:v>
      </x:c>
      <x:c r="D45" s="25"/>
      <x:c r="E45" s="25"/>
      <x:c r="F45" s="16"/>
      <x:c r="G45" s="25"/>
      <x:c r="H45" s="13"/>
      <x:c r="I45" s="31"/>
      <x:c r="J45" s="13"/>
    </x:row>
    <x:row r="46" spans="1:10" x14ac:dyDescent="0.2">
      <x:c r="B46" s="33" t="s">
        <x:v>60</x:v>
      </x:c>
    </x:row>
    <x:row r="47" spans="1:10" x14ac:dyDescent="0.2">
      <x:c r="B47" s="33" t="s">
        <x:v>61</x:v>
      </x:c>
    </x:row>
    <x:row r="48" spans="1:10" x14ac:dyDescent="0.2">
      <x:c r="B48" s="33" t="s">
        <x:v>64</x:v>
      </x:c>
    </x:row>
    <x:row r="50" spans="1:10" x14ac:dyDescent="0.2">
      <x:c r="B50" s="22" t="s">
        <x:v>56</x:v>
      </x:c>
      <x:c r="J50" s="34"/>
    </x:row>
    <x:row r="51" spans="1:10" x14ac:dyDescent="0.2">
      <x:c r="B51" s="2" t="s">
        <x:v>12</x:v>
      </x:c>
      <x:c r="F51" s="13">
        <x:v>100</x:v>
      </x:c>
      <x:c r="G51" s="2" t="s">
        <x:v>55</x:v>
      </x:c>
      <x:c r="H51" s="2" t="s">
        <x:v>54</x:v>
      </x:c>
    </x:row>
    <x:row r="52" spans="1:10" x14ac:dyDescent="0.2">
      <x:c r="B52" s="2" t="str">
        <x:f>"Mean Annual Hydraulic Loading Rate = "&amp;TEXT(H44,"0.00")&amp;" ac-ft/yr / "&amp;TEXT(C11,"0.00")&amp;" acres / 52 wks/yr * 12 in/ft ="</x:f>
        <x:v>Mean Annual Hydraulic Loading Rate = 797.37 ac-ft/yr / 100.00 acres / 52 wks/yr * 12 in/ft =</x:v>
      </x:c>
      <x:c r="H52" s="13">
        <x:f>H44/C11/52*12</x:f>
        <x:v>1.8400819230769234</x:v>
      </x:c>
      <x:c r="I52" s="2" t="s">
        <x:v>24</x:v>
      </x:c>
      <x:c r="J52" s="34" t="str">
        <x:f>IF(ROUND(H52,0)&lt;=C5,"OK","Exceeds Limit")</x:f>
        <x:v>OK</x:v>
      </x:c>
    </x:row>
    <x:row r="53" spans="1:10" x14ac:dyDescent="0.2">
      <x:c r="J53" s="34"/>
    </x:row>
    <x:row r="54" spans="1:10" x14ac:dyDescent="0.2">
      <x:c r="B54" s="22" t="s">
        <x:v>65</x:v>
      </x:c>
      <x:c r="J54" s="34"/>
    </x:row>
    <x:row r="55" spans="1:10" x14ac:dyDescent="0.2">
      <x:c r="B55" s="2" t="s">
        <x:v>22</x:v>
      </x:c>
      <x:c r="F55" s="35">
        <x:f>C12</x:f>
        <x:v>120</x:v>
      </x:c>
      <x:c r="G55" s="2" t="s">
        <x:v>17</x:v>
      </x:c>
      <x:c r="H55" s="2" t="s">
        <x:v>54</x:v>
      </x:c>
      <x:c r="J55" s="34"/>
    </x:row>
    <x:row r="56" spans="1:10" x14ac:dyDescent="0.2">
      <x:c r="B56" s="2" t="str">
        <x:f>"Annual Residence Time = "&amp;TEXT(F55,"0.00")&amp;" ac-ft / "&amp;TEXT(H44,"0.00")&amp;" ac-ft/yr * 365 days/yr ="</x:f>
        <x:v>Annual Residence Time = 120.00 ac-ft / 797.37 ac-ft/yr * 365 days/yr =</x:v>
      </x:c>
      <x:c r="F56" s="13">
        <x:f>F55/H44*365</x:f>
        <x:v>54.930664667313089</x:v>
      </x:c>
      <x:c r="G56" s="2" t="s">
        <x:v>19</x:v>
      </x:c>
      <x:c r="H56" s="2" t="str">
        <x:f>" = "&amp;TEXT(F56/C6,"0.00")&amp;" x required "&amp;TEXT(C6,"0")&amp;" days"</x:f>
        <x:v xml:space="preserve"> = 3.92 x required 14 days</x:v>
      </x:c>
      <x:c r="J56" s="34" t="str">
        <x:f>IF(ROUND(F56,0)&gt;=C6,"OK","Less than required")</x:f>
        <x:v>OK</x:v>
      </x:c>
    </x:row>
    <x:row r="58" spans="1:10" ht="19" x14ac:dyDescent="0.25">
      <x:c r="A58" s="24"/>
      <x:c r="B58" s="22" t="s">
        <x:v>57</x:v>
      </x:c>
      <x:c r="C58" s="25"/>
    </x:row>
    <x:row r="59" spans="1:10" x14ac:dyDescent="0.2">
      <x:c r="B59" s="2" t="str">
        <x:f>"TN Assimilative Capacity = "&amp;TEXT(E11,"0,000")&amp;" m2 X "&amp;C7&amp;" "&amp;D7&amp;" = "</x:f>
        <x:v xml:space="preserve">TN Assimilative Capacity = 404,686 m2 X 25 g/m²/yr = </x:v>
      </x:c>
      <x:c r="F59" s="12">
        <x:f>E11*C7/1000</x:f>
        <x:v>10117.140408503003</x:v>
      </x:c>
      <x:c r="G59" s="2" t="str">
        <x:f>" = "&amp;TEXT(F59/I44,"0.00")&amp;" x runoff load"</x:f>
        <x:v xml:space="preserve"> = 6.13 x runoff load</x:v>
      </x:c>
      <x:c r="J59" s="34" t="str">
        <x:f>IF(I44&lt;F59,"OK","Exceeds Capacity")</x:f>
        <x:v>OK</x:v>
      </x:c>
    </x:row>
    <x:row r="60" spans="1:10" x14ac:dyDescent="0.2">
      <x:c r="B60" s="2" t="str">
        <x:f>"TP Assimilative Capacity = "&amp;TEXT(E11,"0,000")&amp;" m2 X "&amp;C8&amp;" g/m2/yr = "</x:f>
        <x:v xml:space="preserve">TP Assimilative Capacity = 404,686 m2 X 3 g/m2/yr = </x:v>
      </x:c>
      <x:c r="F60" s="12">
        <x:f>E11*C8/1000</x:f>
        <x:v>1214.0568490203605</x:v>
      </x:c>
      <x:c r="G60" s="2" t="str">
        <x:f>" = "&amp;TEXT(F60/J44,"0.00")&amp;" x runoff load"</x:f>
        <x:v xml:space="preserve"> = 4.12 x runoff load</x:v>
      </x:c>
      <x:c r="J60" s="34" t="str">
        <x:f>IF(J44&lt;F60,"OK","Exceeds Capacity")</x:f>
        <x:v>OK</x:v>
      </x:c>
    </x:row>
    <x:row r="61" spans="1:10" x14ac:dyDescent="0.2">
      <x:c r="J61" s="34"/>
    </x:row>
  </x:sheetData>
  <x:mergeCells count="1">
    <x:mergeCell ref="A1:J1"/>
  </x:mergeCells>
  <x:conditionalFormatting sqref="J50:J52 J56 J59:J61">
    <x:cfRule type="cellIs" dxfId="1" priority="1" operator="equal">
      <x:formula>"OK"</x:formula>
    </x:cfRule>
    <x:cfRule type="cellIs" dxfId="0" priority="2" stopIfTrue="1" operator="notEqual">
      <x:formula>"OK"</x:formula>
    </x:cfRule>
  </x:conditionalFormatting>
  <x:pageMargins left="0.7" right="0.7" top="0.75" bottom="0.75" header="0.3" footer="0.3"/>
  <x:pageSetup scale="82" orientation="portrait" r:id="rId1"/>
</x:worksheet>
</file>

<file path=docProps/app.xml><?xml version="1.0" encoding="utf-8"?>
<ap:Properties xmlns:vt="http://schemas.openxmlformats.org/officeDocument/2006/docPropsVTypes" xmlns:ap="http://schemas.openxmlformats.org/officeDocument/2006/extended-properties"/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lastPrinted>1900-01-01T05:00:00.0000000Z</lastPrinted>
  <dcterms:created xsi:type="dcterms:W3CDTF">1900-01-01T05:00:00.0000000Z</dcterms:created>
  <dcterms:modified xsi:type="dcterms:W3CDTF">1900-01-01T05:00:00.0000000Z</dcterms:modified>
</coreProperties>
</file>

<file path=docProps/custom.xml><?xml version="1.0" encoding="utf-8"?>
<op:Properties xmlns:vt="http://schemas.openxmlformats.org/officeDocument/2006/docPropsVTypes" xmlns:op="http://schemas.openxmlformats.org/officeDocument/2006/custom-properties"/>
</file>